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603"/>
  </bookViews>
  <sheets>
    <sheet name="2026" sheetId="16" r:id="rId1"/>
  </sheets>
  <definedNames>
    <definedName name="_xlnm.Print_Area" localSheetId="0">'2026'!$A$1:$Z$37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<sst xmlns="http://schemas.openxmlformats.org/spreadsheetml/2006/main" count="61" uniqueCount="59">
  <si>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Tabelul 5</t>
  </si>
  <si>
    <t>Bugetul instituțiilor de învățămînt secundar, raionul Leova pe anul 2026</t>
  </si>
  <si>
    <t>Numărul elevilor la 01 octombrie  2024</t>
  </si>
  <si>
    <t>Numărul total de elevi ponderaţi</t>
  </si>
  <si>
    <t>perelev 96%</t>
  </si>
  <si>
    <t>Cadrul de sprigin</t>
  </si>
  <si>
    <t>Transportarea elevilor</t>
  </si>
  <si>
    <t>Căminul 40 elevi</t>
  </si>
  <si>
    <t>P/u grad didactic</t>
  </si>
  <si>
    <t>Componenta
 raională</t>
  </si>
  <si>
    <t>Total general transferturi categoriale</t>
  </si>
  <si>
    <t>Numărul cadrelor didactice  proiect</t>
  </si>
  <si>
    <t>Compensații</t>
  </si>
  <si>
    <t>Studierea limbilor minorit.</t>
  </si>
  <si>
    <t xml:space="preserve">TOTAL </t>
  </si>
  <si>
    <t xml:space="preserve"> Dejun cald   Norma 18,0 lei/elev</t>
  </si>
  <si>
    <t>Transferuri primite de la UAT nivelul I, pentru alimentarea elevilor din familii social vulnerab</t>
  </si>
  <si>
    <t>Transferuri din fondul de eficienta energetica</t>
  </si>
  <si>
    <t>Venituri colectate donatii</t>
  </si>
  <si>
    <t>TOTAL GENERAL</t>
  </si>
  <si>
    <t>Denumirea instituţiei</t>
  </si>
  <si>
    <t xml:space="preserve">Numărul total de elevi </t>
  </si>
  <si>
    <t>Clasele
1-4</t>
  </si>
  <si>
    <t>Clasele
5-9</t>
  </si>
  <si>
    <t>Clasele
10-12</t>
  </si>
  <si>
    <t>Volumul alocațiilor 2026 (lei)</t>
  </si>
  <si>
    <t>Volumul alocațiilor 2026 (mii lei)</t>
  </si>
  <si>
    <t>Nr.
copiilor</t>
  </si>
  <si>
    <t>nr. tarifelor
pedagogice</t>
  </si>
  <si>
    <t>Cheltuieli
de
personal</t>
  </si>
  <si>
    <t>nr. tarifelor
pedagogice  (ore)</t>
  </si>
  <si>
    <t>L.T. "C.Spătaru"</t>
  </si>
  <si>
    <t>L.T. "M.Eminescu"</t>
  </si>
  <si>
    <t>L.T. "L.Blaga"</t>
  </si>
  <si>
    <t>Camin</t>
  </si>
  <si>
    <t>Serviciul de transport</t>
  </si>
  <si>
    <t>Total liceal</t>
  </si>
  <si>
    <t>Gimnaziul Filipeni</t>
  </si>
  <si>
    <t>Gimnaziul Sărata Nouă</t>
  </si>
  <si>
    <t>Gimnaziul Tigheci</t>
  </si>
  <si>
    <t>Gimnaziul Borogani</t>
  </si>
  <si>
    <t>Gimnaziul Cazangic</t>
  </si>
  <si>
    <t>Gimnaziul Ceadâr</t>
  </si>
  <si>
    <t>Gimnaziul Orac filială</t>
  </si>
  <si>
    <t>Gimnaziul Cneazevca</t>
  </si>
  <si>
    <t>Gimnaziul Covurlui</t>
  </si>
  <si>
    <t>Gimnaziul Cupcui</t>
  </si>
  <si>
    <t>Gimnaziul Hănăsenii Noi</t>
  </si>
  <si>
    <t>Gimnaziul Sărăteni</t>
  </si>
  <si>
    <t>Gimnaziul Sărăţica Nouă</t>
  </si>
  <si>
    <t>Gimnaziul Sârma</t>
  </si>
  <si>
    <t>Gimnaziul Tochile-Răducani</t>
  </si>
  <si>
    <t>Gimnaziul Mihai Vitiazul Tomai</t>
  </si>
  <si>
    <t>Gimnaziul Grigore Vieru Borogani</t>
  </si>
  <si>
    <t>Directia Invatamint</t>
  </si>
  <si>
    <t>Total gimnazial</t>
  </si>
  <si>
    <t>Școla-primară Sărata-Răzeşi</t>
  </si>
  <si>
    <t>Total primar</t>
  </si>
  <si>
    <t>Total general perelev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</si>
</sst>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0.0_ "/>
    <numFmt numFmtId="180" formatCode="#,##0.0"/>
  </numFmts>
  <fonts count="34">
    <font>
      <sz val="10"/>
      <name val="Arial"/>
      <charset val="134"/>
    </font>
    <font>
      <sz val="9"/>
      <name val="Times New Roman"/>
      <charset val="134"/>
    </font>
    <font>
      <sz val="10"/>
      <name val="Times New Roman"/>
      <charset val="204"/>
    </font>
    <font>
      <b/>
      <sz val="18"/>
      <name val="Times New Roman"/>
      <charset val="204"/>
    </font>
    <font>
      <b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2"/>
      <name val="Times New Roman"/>
      <charset val="204"/>
    </font>
    <font>
      <b/>
      <sz val="9"/>
      <name val="Times New Roman"/>
      <charset val="204"/>
    </font>
    <font>
      <sz val="12"/>
      <name val="Times New Roman"/>
      <charset val="238"/>
    </font>
    <font>
      <b/>
      <sz val="10"/>
      <name val="Arial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6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" xfId="49" applyFont="1" applyFill="1" applyBorder="1"/>
    <xf numFmtId="0" fontId="4" fillId="2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7" fillId="0" borderId="7" xfId="0" applyFont="1" applyFill="1" applyBorder="1" applyAlignment="1"/>
    <xf numFmtId="49" fontId="7" fillId="0" borderId="8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178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/>
    <xf numFmtId="49" fontId="7" fillId="0" borderId="10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178" fontId="7" fillId="0" borderId="10" xfId="0" applyNumberFormat="1" applyFont="1" applyFill="1" applyBorder="1" applyAlignment="1">
      <alignment horizontal="center"/>
    </xf>
    <xf numFmtId="0" fontId="7" fillId="0" borderId="11" xfId="0" applyFont="1" applyFill="1" applyBorder="1" applyAlignment="1"/>
    <xf numFmtId="49" fontId="7" fillId="0" borderId="12" xfId="0" applyNumberFormat="1" applyFon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178" fontId="7" fillId="0" borderId="12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178" fontId="5" fillId="0" borderId="6" xfId="0" applyNumberFormat="1" applyFont="1" applyFill="1" applyBorder="1" applyAlignment="1">
      <alignment horizontal="center"/>
    </xf>
    <xf numFmtId="0" fontId="7" fillId="0" borderId="7" xfId="54" applyFont="1" applyFill="1" applyBorder="1" applyAlignment="1"/>
    <xf numFmtId="1" fontId="7" fillId="0" borderId="8" xfId="49" applyNumberFormat="1" applyFont="1" applyFill="1" applyBorder="1" applyAlignment="1">
      <alignment horizontal="center"/>
    </xf>
    <xf numFmtId="1" fontId="7" fillId="0" borderId="10" xfId="49" applyNumberFormat="1" applyFont="1" applyFill="1" applyBorder="1" applyAlignment="1">
      <alignment horizontal="center"/>
    </xf>
    <xf numFmtId="1" fontId="7" fillId="0" borderId="10" xfId="55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1" fontId="7" fillId="0" borderId="12" xfId="55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7" fillId="0" borderId="13" xfId="0" applyFont="1" applyFill="1" applyBorder="1" applyAlignment="1"/>
    <xf numFmtId="49" fontId="7" fillId="0" borderId="14" xfId="0" applyNumberFormat="1" applyFont="1" applyFill="1" applyBorder="1" applyAlignment="1">
      <alignment horizontal="center"/>
    </xf>
    <xf numFmtId="1" fontId="7" fillId="0" borderId="14" xfId="0" applyNumberFormat="1" applyFont="1" applyFill="1" applyBorder="1" applyAlignment="1">
      <alignment horizontal="center"/>
    </xf>
    <xf numFmtId="1" fontId="7" fillId="0" borderId="14" xfId="49" applyNumberFormat="1" applyFont="1" applyFill="1" applyBorder="1" applyAlignment="1">
      <alignment horizontal="center"/>
    </xf>
    <xf numFmtId="178" fontId="7" fillId="0" borderId="14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7" fillId="0" borderId="1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178" fontId="7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78" fontId="7" fillId="0" borderId="8" xfId="49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78" fontId="7" fillId="0" borderId="10" xfId="49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78" fontId="7" fillId="0" borderId="12" xfId="49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wrapText="1"/>
    </xf>
    <xf numFmtId="179" fontId="7" fillId="0" borderId="10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178" fontId="7" fillId="0" borderId="14" xfId="49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8" fontId="5" fillId="0" borderId="0" xfId="0" applyNumberFormat="1" applyFont="1" applyFill="1"/>
    <xf numFmtId="0" fontId="7" fillId="0" borderId="0" xfId="0" applyFont="1" applyFill="1"/>
    <xf numFmtId="0" fontId="5" fillId="0" borderId="0" xfId="0" applyFont="1" applyFill="1"/>
    <xf numFmtId="178" fontId="0" fillId="0" borderId="0" xfId="0" applyNumberFormat="1" applyFont="1" applyFill="1"/>
    <xf numFmtId="0" fontId="4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4" fontId="7" fillId="0" borderId="8" xfId="55" applyNumberFormat="1" applyFont="1" applyFill="1" applyBorder="1" applyAlignment="1">
      <alignment horizontal="center"/>
    </xf>
    <xf numFmtId="180" fontId="7" fillId="0" borderId="8" xfId="55" applyNumberFormat="1" applyFont="1" applyFill="1" applyBorder="1" applyAlignment="1">
      <alignment horizontal="center"/>
    </xf>
    <xf numFmtId="178" fontId="7" fillId="0" borderId="8" xfId="55" applyNumberFormat="1" applyFont="1" applyFill="1" applyBorder="1" applyAlignment="1">
      <alignment horizontal="center"/>
    </xf>
    <xf numFmtId="3" fontId="7" fillId="0" borderId="10" xfId="55" applyNumberFormat="1" applyFont="1" applyFill="1" applyBorder="1" applyAlignment="1">
      <alignment horizontal="center"/>
    </xf>
    <xf numFmtId="178" fontId="7" fillId="0" borderId="10" xfId="55" applyNumberFormat="1" applyFont="1" applyFill="1" applyBorder="1" applyAlignment="1">
      <alignment horizontal="center"/>
    </xf>
    <xf numFmtId="1" fontId="7" fillId="0" borderId="12" xfId="49" applyNumberFormat="1" applyFont="1" applyFill="1" applyBorder="1" applyAlignment="1">
      <alignment horizontal="center"/>
    </xf>
    <xf numFmtId="3" fontId="7" fillId="0" borderId="12" xfId="55" applyNumberFormat="1" applyFont="1" applyFill="1" applyBorder="1" applyAlignment="1">
      <alignment horizontal="center"/>
    </xf>
    <xf numFmtId="180" fontId="7" fillId="0" borderId="12" xfId="55" applyNumberFormat="1" applyFont="1" applyFill="1" applyBorder="1" applyAlignment="1">
      <alignment horizontal="center"/>
    </xf>
    <xf numFmtId="178" fontId="7" fillId="0" borderId="12" xfId="55" applyNumberFormat="1" applyFont="1" applyFill="1" applyBorder="1" applyAlignment="1">
      <alignment horizontal="center"/>
    </xf>
    <xf numFmtId="3" fontId="7" fillId="0" borderId="8" xfId="55" applyNumberFormat="1" applyFont="1" applyFill="1" applyBorder="1" applyAlignment="1">
      <alignment horizontal="center"/>
    </xf>
    <xf numFmtId="2" fontId="7" fillId="0" borderId="10" xfId="55" applyNumberFormat="1" applyFont="1" applyFill="1" applyBorder="1" applyAlignment="1">
      <alignment horizontal="center"/>
    </xf>
    <xf numFmtId="2" fontId="7" fillId="0" borderId="12" xfId="55" applyNumberFormat="1" applyFont="1" applyFill="1" applyBorder="1" applyAlignment="1">
      <alignment horizontal="center"/>
    </xf>
    <xf numFmtId="2" fontId="5" fillId="0" borderId="6" xfId="55" applyNumberFormat="1" applyFont="1" applyFill="1" applyBorder="1" applyAlignment="1">
      <alignment horizontal="center"/>
    </xf>
    <xf numFmtId="178" fontId="5" fillId="0" borderId="6" xfId="55" applyNumberFormat="1" applyFont="1" applyFill="1" applyBorder="1" applyAlignment="1">
      <alignment horizontal="center"/>
    </xf>
    <xf numFmtId="178" fontId="7" fillId="0" borderId="14" xfId="55" applyNumberFormat="1" applyFont="1" applyFill="1" applyBorder="1" applyAlignment="1">
      <alignment horizontal="center"/>
    </xf>
    <xf numFmtId="178" fontId="5" fillId="0" borderId="6" xfId="49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178" fontId="7" fillId="0" borderId="20" xfId="0" applyNumberFormat="1" applyFont="1" applyFill="1" applyBorder="1" applyAlignment="1">
      <alignment horizontal="center"/>
    </xf>
    <xf numFmtId="178" fontId="7" fillId="0" borderId="21" xfId="0" applyNumberFormat="1" applyFont="1" applyFill="1" applyBorder="1" applyAlignment="1">
      <alignment horizontal="center"/>
    </xf>
    <xf numFmtId="178" fontId="7" fillId="0" borderId="22" xfId="0" applyNumberFormat="1" applyFont="1" applyFill="1" applyBorder="1" applyAlignment="1">
      <alignment horizontal="center"/>
    </xf>
    <xf numFmtId="178" fontId="5" fillId="0" borderId="19" xfId="0" applyNumberFormat="1" applyFont="1" applyFill="1" applyBorder="1" applyAlignment="1">
      <alignment horizontal="center"/>
    </xf>
    <xf numFmtId="178" fontId="0" fillId="0" borderId="0" xfId="0" applyNumberFormat="1" applyFont="1" applyFill="1" applyAlignment="1"/>
    <xf numFmtId="178" fontId="7" fillId="0" borderId="23" xfId="0" applyNumberFormat="1" applyFont="1" applyFill="1" applyBorder="1" applyAlignment="1">
      <alignment horizontal="center"/>
    </xf>
    <xf numFmtId="178" fontId="7" fillId="0" borderId="0" xfId="0" applyNumberFormat="1" applyFont="1" applyFill="1" applyBorder="1" applyAlignment="1">
      <alignment horizontal="center"/>
    </xf>
    <xf numFmtId="178" fontId="7" fillId="0" borderId="0" xfId="0" applyNumberFormat="1" applyFont="1" applyFill="1" applyBorder="1" applyAlignment="1">
      <alignment horizontal="center" vertical="center"/>
    </xf>
  </cellXfs>
  <cellStyles count="5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2" xfId="50"/>
    <cellStyle name="Normal 2 3" xfId="51"/>
    <cellStyle name="Normal 2 4" xfId="52"/>
    <cellStyle name="Normal 2 5" xfId="53"/>
    <cellStyle name="Normal 3" xfId="54"/>
    <cellStyle name="Normal 4" xfId="55"/>
    <cellStyle name="Обычный 2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1"/>
  <sheetViews>
    <sheetView tabSelected="1" view="pageBreakPreview" zoomScale="80" zoomScaleNormal="100" workbookViewId="0">
      <pane xSplit="1" ySplit="7" topLeftCell="B8" activePane="bottomRight" state="frozen"/>
      <selection/>
      <selection pane="topRight"/>
      <selection pane="bottomLeft"/>
      <selection pane="bottomRight" activeCell="B5" sqref="B5:E5"/>
    </sheetView>
  </sheetViews>
  <sheetFormatPr defaultColWidth="9" defaultRowHeight="12.75"/>
  <cols>
    <col min="1" max="1" width="32.8571428571429" style="3" customWidth="1"/>
    <col min="2" max="2" width="11.1428571428571" style="3" customWidth="1"/>
    <col min="3" max="4" width="9" style="3"/>
    <col min="5" max="5" width="8.57142857142857" style="3" customWidth="1"/>
    <col min="6" max="6" width="13.1428571428571" style="3" customWidth="1"/>
    <col min="7" max="7" width="15.1428571428571" style="3" customWidth="1"/>
    <col min="8" max="8" width="15" style="3" customWidth="1"/>
    <col min="9" max="9" width="7.28571428571429" style="3" customWidth="1"/>
    <col min="10" max="10" width="10.4285714285714" style="3" customWidth="1"/>
    <col min="11" max="11" width="9.71428571428571" style="3"/>
    <col min="12" max="12" width="9" style="3"/>
    <col min="13" max="14" width="8.14285714285714" style="3" customWidth="1"/>
    <col min="15" max="15" width="11" style="3" customWidth="1"/>
    <col min="16" max="18" width="10.8571428571429" style="3" customWidth="1"/>
    <col min="19" max="19" width="8.85714285714286" style="3" customWidth="1"/>
    <col min="20" max="20" width="11.5714285714286" style="3" customWidth="1"/>
    <col min="21" max="21" width="13.8571428571429" style="3" customWidth="1"/>
    <col min="22" max="22" width="14.2857142857143" style="3" customWidth="1"/>
    <col min="23" max="23" width="12" style="3" customWidth="1"/>
    <col min="24" max="24" width="12" style="3" hidden="1" customWidth="1"/>
    <col min="25" max="25" width="10.352380952381" style="3" customWidth="1"/>
    <col min="26" max="26" width="14.7142857142857" style="3" customWidth="1"/>
    <col min="27" max="27" width="9.14285714285714" style="3" hidden="1" customWidth="1"/>
    <col min="28" max="16384" width="9" style="3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spans="1:2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71" t="s">
        <v>0</v>
      </c>
      <c r="Z2" s="71"/>
    </row>
    <row r="3" ht="22.5" spans="1:2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2" customHeight="1" spans="1:26">
      <c r="A5" s="6"/>
      <c r="B5" s="7" t="s">
        <v>2</v>
      </c>
      <c r="C5" s="7"/>
      <c r="D5" s="7"/>
      <c r="E5" s="7"/>
      <c r="F5" s="8" t="s">
        <v>3</v>
      </c>
      <c r="G5" s="9" t="s">
        <v>4</v>
      </c>
      <c r="H5" s="9"/>
      <c r="I5" s="47" t="s">
        <v>5</v>
      </c>
      <c r="J5" s="47"/>
      <c r="K5" s="47"/>
      <c r="L5" s="47" t="s">
        <v>6</v>
      </c>
      <c r="M5" s="48" t="s">
        <v>7</v>
      </c>
      <c r="N5" s="47" t="s">
        <v>8</v>
      </c>
      <c r="O5" s="47" t="s">
        <v>9</v>
      </c>
      <c r="P5" s="49" t="s">
        <v>10</v>
      </c>
      <c r="Q5" s="78" t="s">
        <v>11</v>
      </c>
      <c r="R5" s="47" t="s">
        <v>12</v>
      </c>
      <c r="S5" s="49" t="s">
        <v>13</v>
      </c>
      <c r="T5" s="49"/>
      <c r="U5" s="47" t="s">
        <v>14</v>
      </c>
      <c r="V5" s="79" t="s">
        <v>15</v>
      </c>
      <c r="W5" s="80" t="s">
        <v>16</v>
      </c>
      <c r="X5" s="81" t="s">
        <v>17</v>
      </c>
      <c r="Y5" s="79" t="s">
        <v>18</v>
      </c>
      <c r="Z5" s="104" t="s">
        <v>19</v>
      </c>
    </row>
    <row r="6" ht="104.1" customHeight="1" spans="1:26">
      <c r="A6" s="10" t="s">
        <v>20</v>
      </c>
      <c r="B6" s="11" t="s">
        <v>21</v>
      </c>
      <c r="C6" s="11" t="s">
        <v>22</v>
      </c>
      <c r="D6" s="11" t="s">
        <v>23</v>
      </c>
      <c r="E6" s="11" t="s">
        <v>24</v>
      </c>
      <c r="F6" s="11"/>
      <c r="G6" s="12" t="s">
        <v>25</v>
      </c>
      <c r="H6" s="12" t="s">
        <v>26</v>
      </c>
      <c r="I6" s="50" t="s">
        <v>27</v>
      </c>
      <c r="J6" s="50" t="s">
        <v>28</v>
      </c>
      <c r="K6" s="50" t="s">
        <v>29</v>
      </c>
      <c r="L6" s="12"/>
      <c r="M6" s="51"/>
      <c r="N6" s="12"/>
      <c r="O6" s="52"/>
      <c r="P6" s="53"/>
      <c r="Q6" s="82"/>
      <c r="R6" s="12"/>
      <c r="S6" s="12" t="s">
        <v>30</v>
      </c>
      <c r="T6" s="12" t="s">
        <v>29</v>
      </c>
      <c r="U6" s="52"/>
      <c r="V6" s="83"/>
      <c r="W6" s="84"/>
      <c r="X6" s="85"/>
      <c r="Y6" s="105"/>
      <c r="Z6" s="106"/>
    </row>
    <row r="7" s="1" customFormat="1" ht="16.5" customHeight="1" spans="1:26">
      <c r="A7" s="13">
        <v>1</v>
      </c>
      <c r="B7" s="14">
        <v>2</v>
      </c>
      <c r="C7" s="15">
        <v>3</v>
      </c>
      <c r="D7" s="15">
        <v>4</v>
      </c>
      <c r="E7" s="15">
        <v>5</v>
      </c>
      <c r="F7" s="15">
        <v>6</v>
      </c>
      <c r="G7" s="14">
        <v>7</v>
      </c>
      <c r="H7" s="15">
        <v>8</v>
      </c>
      <c r="I7" s="15">
        <v>9</v>
      </c>
      <c r="J7" s="15">
        <v>10</v>
      </c>
      <c r="K7" s="15">
        <v>11</v>
      </c>
      <c r="L7" s="14">
        <v>12</v>
      </c>
      <c r="M7" s="15">
        <v>13</v>
      </c>
      <c r="N7" s="15">
        <v>14</v>
      </c>
      <c r="O7" s="15">
        <v>15</v>
      </c>
      <c r="P7" s="15">
        <v>16</v>
      </c>
      <c r="Q7" s="14">
        <v>17</v>
      </c>
      <c r="R7" s="15">
        <v>18</v>
      </c>
      <c r="S7" s="15">
        <v>19</v>
      </c>
      <c r="T7" s="15">
        <v>20</v>
      </c>
      <c r="U7" s="15">
        <v>21</v>
      </c>
      <c r="V7" s="14">
        <v>22</v>
      </c>
      <c r="W7" s="15">
        <v>23</v>
      </c>
      <c r="X7" s="15">
        <v>24</v>
      </c>
      <c r="Y7" s="14">
        <v>24</v>
      </c>
      <c r="Z7" s="107">
        <v>25</v>
      </c>
    </row>
    <row r="8" s="2" customFormat="1" ht="22" customHeight="1" spans="1:26">
      <c r="A8" s="16" t="s">
        <v>31</v>
      </c>
      <c r="B8" s="17">
        <f>C8+D8+E8</f>
        <v>537</v>
      </c>
      <c r="C8" s="18">
        <v>223</v>
      </c>
      <c r="D8" s="18">
        <v>208</v>
      </c>
      <c r="E8" s="18">
        <v>106</v>
      </c>
      <c r="F8" s="18">
        <v>522</v>
      </c>
      <c r="G8" s="18">
        <f>((F8*20631)+1107559)*96%</f>
        <v>11401863.36</v>
      </c>
      <c r="H8" s="19">
        <f>G8/1000</f>
        <v>11401.86336</v>
      </c>
      <c r="I8" s="18">
        <v>21</v>
      </c>
      <c r="J8" s="54">
        <v>2</v>
      </c>
      <c r="K8" s="55">
        <v>193.4</v>
      </c>
      <c r="L8" s="55"/>
      <c r="M8" s="55"/>
      <c r="N8" s="55">
        <v>742.6</v>
      </c>
      <c r="O8" s="55"/>
      <c r="P8" s="56">
        <f>H8+K8+L8+O8+M8+N8</f>
        <v>12337.86336</v>
      </c>
      <c r="Q8" s="31">
        <v>34</v>
      </c>
      <c r="R8" s="56">
        <f>Q8*4</f>
        <v>136</v>
      </c>
      <c r="S8" s="86">
        <v>0.17</v>
      </c>
      <c r="T8" s="87">
        <v>33.1</v>
      </c>
      <c r="U8" s="88">
        <f>P8+R8+T8</f>
        <v>12506.96336</v>
      </c>
      <c r="V8" s="19">
        <f>(C8+D8)*171*18/1000</f>
        <v>1326.618</v>
      </c>
      <c r="W8" s="88"/>
      <c r="X8" s="88"/>
      <c r="Y8" s="19">
        <v>204.3</v>
      </c>
      <c r="Z8" s="108">
        <f>SUM(U8+W8+Y8+V8+AA8)</f>
        <v>14037.88136</v>
      </c>
    </row>
    <row r="9" s="2" customFormat="1" ht="22" customHeight="1" spans="1:26">
      <c r="A9" s="20" t="s">
        <v>32</v>
      </c>
      <c r="B9" s="21">
        <f>C9+D9+E9</f>
        <v>569</v>
      </c>
      <c r="C9" s="22">
        <v>174</v>
      </c>
      <c r="D9" s="22">
        <v>289</v>
      </c>
      <c r="E9" s="22">
        <v>106</v>
      </c>
      <c r="F9" s="22">
        <v>563</v>
      </c>
      <c r="G9" s="22">
        <f>((F9*20631)+1107559)*96%</f>
        <v>12213899.52</v>
      </c>
      <c r="H9" s="23">
        <f>G9/1000</f>
        <v>12213.89952</v>
      </c>
      <c r="I9" s="22">
        <v>35</v>
      </c>
      <c r="J9" s="57">
        <v>3.5</v>
      </c>
      <c r="K9" s="58">
        <v>338.5</v>
      </c>
      <c r="L9" s="58"/>
      <c r="M9" s="58"/>
      <c r="N9" s="58">
        <v>747.2</v>
      </c>
      <c r="O9" s="58"/>
      <c r="P9" s="59">
        <f>H9+K9+L9+O9+M9+N9</f>
        <v>13299.59952</v>
      </c>
      <c r="Q9" s="32">
        <v>44</v>
      </c>
      <c r="R9" s="59">
        <f>Q9*4</f>
        <v>176</v>
      </c>
      <c r="S9" s="89"/>
      <c r="T9" s="89"/>
      <c r="U9" s="90">
        <f>P9+R9+T9</f>
        <v>13475.59952</v>
      </c>
      <c r="V9" s="23">
        <f>(C9+D9)*171*18/1000</f>
        <v>1425.114</v>
      </c>
      <c r="W9" s="90"/>
      <c r="X9" s="90"/>
      <c r="Y9" s="23">
        <v>118</v>
      </c>
      <c r="Z9" s="109">
        <f>SUM(U9+W9+Y9+V9+AA9)</f>
        <v>15018.71352</v>
      </c>
    </row>
    <row r="10" s="2" customFormat="1" ht="22" customHeight="1" spans="1:26">
      <c r="A10" s="20" t="s">
        <v>33</v>
      </c>
      <c r="B10" s="21">
        <f>C10+D10+E10</f>
        <v>422</v>
      </c>
      <c r="C10" s="22">
        <v>157</v>
      </c>
      <c r="D10" s="22">
        <v>201</v>
      </c>
      <c r="E10" s="22">
        <v>64</v>
      </c>
      <c r="F10" s="22">
        <v>409</v>
      </c>
      <c r="G10" s="22">
        <f>((F10*20631)+1107559)*96%</f>
        <v>9163812.48</v>
      </c>
      <c r="H10" s="23">
        <f>G10/1000</f>
        <v>9163.81248</v>
      </c>
      <c r="I10" s="22">
        <v>18</v>
      </c>
      <c r="J10" s="57">
        <v>1.75</v>
      </c>
      <c r="K10" s="58">
        <v>169.2</v>
      </c>
      <c r="L10" s="58"/>
      <c r="M10" s="58"/>
      <c r="N10" s="58">
        <v>473</v>
      </c>
      <c r="O10" s="58"/>
      <c r="P10" s="59">
        <f>H10+K10+L10+O10+M10+N10</f>
        <v>9806.01248</v>
      </c>
      <c r="Q10" s="32">
        <v>30</v>
      </c>
      <c r="R10" s="59">
        <f>Q10*4</f>
        <v>120</v>
      </c>
      <c r="S10" s="89"/>
      <c r="T10" s="89"/>
      <c r="U10" s="90">
        <f>P10+R10+T10</f>
        <v>9926.01248</v>
      </c>
      <c r="V10" s="23">
        <f>(C10+D10)*171*18/1000</f>
        <v>1101.924</v>
      </c>
      <c r="W10" s="90"/>
      <c r="X10" s="90"/>
      <c r="Y10" s="23">
        <v>0.1</v>
      </c>
      <c r="Z10" s="109">
        <f>SUM(U10+W10+Y10+V10+AA10)</f>
        <v>11028.03648</v>
      </c>
    </row>
    <row r="11" s="2" customFormat="1" ht="22" customHeight="1" spans="1:26">
      <c r="A11" s="20" t="s">
        <v>34</v>
      </c>
      <c r="B11" s="21"/>
      <c r="C11" s="22"/>
      <c r="D11" s="22"/>
      <c r="E11" s="22"/>
      <c r="F11" s="22"/>
      <c r="G11" s="22"/>
      <c r="H11" s="23"/>
      <c r="I11" s="58"/>
      <c r="J11" s="57"/>
      <c r="K11" s="58"/>
      <c r="L11" s="58"/>
      <c r="M11" s="58">
        <v>825.2</v>
      </c>
      <c r="N11" s="58"/>
      <c r="O11" s="58"/>
      <c r="P11" s="59">
        <f>H11+K11+L11+O11+M11+N11</f>
        <v>825.2</v>
      </c>
      <c r="Q11" s="32"/>
      <c r="R11" s="59"/>
      <c r="S11" s="89"/>
      <c r="T11" s="89"/>
      <c r="U11" s="90">
        <f>P11+R11+T11</f>
        <v>825.2</v>
      </c>
      <c r="V11" s="23"/>
      <c r="W11" s="90"/>
      <c r="X11" s="90"/>
      <c r="Y11" s="23">
        <v>176.1</v>
      </c>
      <c r="Z11" s="109">
        <f>SUM(U11+W11+Y11+V11+AA11)</f>
        <v>1001.3</v>
      </c>
    </row>
    <row r="12" s="2" customFormat="1" ht="22" customHeight="1" spans="1:26">
      <c r="A12" s="24" t="s">
        <v>35</v>
      </c>
      <c r="B12" s="25"/>
      <c r="C12" s="26"/>
      <c r="D12" s="26"/>
      <c r="E12" s="26"/>
      <c r="F12" s="26"/>
      <c r="G12" s="26"/>
      <c r="H12" s="27"/>
      <c r="I12" s="60"/>
      <c r="J12" s="61"/>
      <c r="K12" s="60"/>
      <c r="L12" s="60">
        <v>914.1</v>
      </c>
      <c r="M12" s="60"/>
      <c r="N12" s="60"/>
      <c r="O12" s="60"/>
      <c r="P12" s="62">
        <f>H12+K12+L12+O12+M12+N12</f>
        <v>914.1</v>
      </c>
      <c r="Q12" s="91"/>
      <c r="R12" s="62"/>
      <c r="S12" s="92"/>
      <c r="T12" s="93"/>
      <c r="U12" s="94">
        <f>P12+R12+T12</f>
        <v>914.1</v>
      </c>
      <c r="V12" s="27"/>
      <c r="W12" s="94"/>
      <c r="X12" s="94"/>
      <c r="Y12" s="27"/>
      <c r="Z12" s="110">
        <f>SUM(U12+W12+Y12+V12+AA12)</f>
        <v>914.1</v>
      </c>
    </row>
    <row r="13" s="2" customFormat="1" ht="26" customHeight="1" spans="1:26">
      <c r="A13" s="28" t="s">
        <v>36</v>
      </c>
      <c r="B13" s="29">
        <f t="shared" ref="B13:H13" si="0">SUM(B8:B12)</f>
        <v>1528</v>
      </c>
      <c r="C13" s="29">
        <f t="shared" si="0"/>
        <v>554</v>
      </c>
      <c r="D13" s="29">
        <f t="shared" si="0"/>
        <v>698</v>
      </c>
      <c r="E13" s="29">
        <f t="shared" si="0"/>
        <v>276</v>
      </c>
      <c r="F13" s="29">
        <f t="shared" si="0"/>
        <v>1494</v>
      </c>
      <c r="G13" s="29">
        <f t="shared" si="0"/>
        <v>32779575.36</v>
      </c>
      <c r="H13" s="29">
        <f t="shared" si="0"/>
        <v>32779.57536</v>
      </c>
      <c r="I13" s="29">
        <f t="shared" ref="I13:Z13" si="1">SUM(I8:I12)</f>
        <v>74</v>
      </c>
      <c r="J13" s="29">
        <f t="shared" si="1"/>
        <v>7.25</v>
      </c>
      <c r="K13" s="29">
        <f t="shared" si="1"/>
        <v>701.1</v>
      </c>
      <c r="L13" s="29">
        <f t="shared" si="1"/>
        <v>914.1</v>
      </c>
      <c r="M13" s="29">
        <f t="shared" si="1"/>
        <v>825.2</v>
      </c>
      <c r="N13" s="29">
        <f t="shared" si="1"/>
        <v>1962.8</v>
      </c>
      <c r="O13" s="29">
        <f t="shared" si="1"/>
        <v>0</v>
      </c>
      <c r="P13" s="29">
        <f t="shared" si="1"/>
        <v>37182.77536</v>
      </c>
      <c r="Q13" s="29">
        <f t="shared" si="1"/>
        <v>108</v>
      </c>
      <c r="R13" s="29">
        <f t="shared" si="1"/>
        <v>432</v>
      </c>
      <c r="S13" s="42">
        <f t="shared" si="1"/>
        <v>0.17</v>
      </c>
      <c r="T13" s="29">
        <f t="shared" si="1"/>
        <v>33.1</v>
      </c>
      <c r="U13" s="29">
        <f t="shared" si="1"/>
        <v>37647.87536</v>
      </c>
      <c r="V13" s="29">
        <v>3853.6</v>
      </c>
      <c r="W13" s="29">
        <f t="shared" si="1"/>
        <v>0</v>
      </c>
      <c r="X13" s="29">
        <f t="shared" si="1"/>
        <v>0</v>
      </c>
      <c r="Y13" s="29">
        <f t="shared" si="1"/>
        <v>498.5</v>
      </c>
      <c r="Z13" s="111">
        <f t="shared" si="1"/>
        <v>42000.03136</v>
      </c>
    </row>
    <row r="14" s="2" customFormat="1" ht="21" customHeight="1" spans="1:26">
      <c r="A14" s="30" t="s">
        <v>37</v>
      </c>
      <c r="B14" s="17">
        <f>C14+D14+E14</f>
        <v>335</v>
      </c>
      <c r="C14" s="18">
        <v>152</v>
      </c>
      <c r="D14" s="18">
        <v>183</v>
      </c>
      <c r="E14" s="31"/>
      <c r="F14" s="18">
        <v>309</v>
      </c>
      <c r="G14" s="18">
        <f>((F14*20631)+1107559)*96%</f>
        <v>7183236.48</v>
      </c>
      <c r="H14" s="19">
        <v>7183.2</v>
      </c>
      <c r="I14" s="55">
        <v>18</v>
      </c>
      <c r="J14" s="54">
        <v>2</v>
      </c>
      <c r="K14" s="63">
        <v>193.4</v>
      </c>
      <c r="L14" s="64"/>
      <c r="M14" s="64"/>
      <c r="N14" s="64">
        <v>164.3</v>
      </c>
      <c r="O14" s="64"/>
      <c r="P14" s="56">
        <f>H14+K14+L14+M14+O14+N14</f>
        <v>7540.9</v>
      </c>
      <c r="Q14" s="31">
        <v>24</v>
      </c>
      <c r="R14" s="56">
        <f>Q14*4</f>
        <v>96</v>
      </c>
      <c r="S14" s="95"/>
      <c r="T14" s="95"/>
      <c r="U14" s="88">
        <f>P14+R14+T14</f>
        <v>7636.9</v>
      </c>
      <c r="V14" s="19">
        <v>1031.1</v>
      </c>
      <c r="W14" s="19"/>
      <c r="X14" s="88"/>
      <c r="Y14" s="19">
        <v>0.1</v>
      </c>
      <c r="Z14" s="108">
        <f>SUM(U14+W14+Y14+V14+AA14)</f>
        <v>8668.1</v>
      </c>
    </row>
    <row r="15" s="2" customFormat="1" ht="21" customHeight="1" spans="1:26">
      <c r="A15" s="20" t="s">
        <v>38</v>
      </c>
      <c r="B15" s="21">
        <f>C15+D15+E15</f>
        <v>62</v>
      </c>
      <c r="C15" s="22">
        <v>31</v>
      </c>
      <c r="D15" s="22">
        <v>31</v>
      </c>
      <c r="E15" s="32"/>
      <c r="F15" s="22">
        <v>57</v>
      </c>
      <c r="G15" s="22">
        <f>((F15*(91*20631+1107559))/91*0.96)</f>
        <v>1794924.23736264</v>
      </c>
      <c r="H15" s="23">
        <v>1794.9</v>
      </c>
      <c r="I15" s="58">
        <v>1</v>
      </c>
      <c r="J15" s="57"/>
      <c r="K15" s="65"/>
      <c r="L15" s="66"/>
      <c r="M15" s="66"/>
      <c r="N15" s="66">
        <v>83.7</v>
      </c>
      <c r="O15" s="66"/>
      <c r="P15" s="59">
        <f t="shared" ref="P15:P33" si="2">H15+K15+L15+M15+O15+N15</f>
        <v>1878.6</v>
      </c>
      <c r="Q15" s="32">
        <v>15</v>
      </c>
      <c r="R15" s="59">
        <f t="shared" ref="R15:R31" si="3">Q15*4</f>
        <v>60</v>
      </c>
      <c r="S15" s="90"/>
      <c r="T15" s="90"/>
      <c r="U15" s="90">
        <f t="shared" ref="U15:U33" si="4">P15+R15+T15</f>
        <v>1938.6</v>
      </c>
      <c r="V15" s="23">
        <v>190.8</v>
      </c>
      <c r="W15" s="23"/>
      <c r="X15" s="90"/>
      <c r="Y15" s="23">
        <v>0.1</v>
      </c>
      <c r="Z15" s="109">
        <f t="shared" ref="Z15:Z30" si="5">SUM(U15+W15+Y15+V15+AA15)</f>
        <v>2129.5</v>
      </c>
    </row>
    <row r="16" s="2" customFormat="1" ht="21" customHeight="1" spans="1:26">
      <c r="A16" s="20" t="s">
        <v>39</v>
      </c>
      <c r="B16" s="21">
        <f>C16+D16+E16</f>
        <v>145</v>
      </c>
      <c r="C16" s="22">
        <v>63</v>
      </c>
      <c r="D16" s="22">
        <v>82</v>
      </c>
      <c r="E16" s="32"/>
      <c r="F16" s="22">
        <v>134</v>
      </c>
      <c r="G16" s="22">
        <f>((F16*20631)+1107559)*96%</f>
        <v>3717228.48</v>
      </c>
      <c r="H16" s="23">
        <v>3717.2</v>
      </c>
      <c r="I16" s="58">
        <v>14</v>
      </c>
      <c r="J16" s="57">
        <v>1</v>
      </c>
      <c r="K16" s="65">
        <v>96.7</v>
      </c>
      <c r="L16" s="66"/>
      <c r="M16" s="66"/>
      <c r="N16" s="66">
        <v>198.8</v>
      </c>
      <c r="O16" s="66"/>
      <c r="P16" s="59">
        <f t="shared" si="2"/>
        <v>4012.7</v>
      </c>
      <c r="Q16" s="32">
        <v>12</v>
      </c>
      <c r="R16" s="59">
        <f t="shared" si="3"/>
        <v>48</v>
      </c>
      <c r="S16" s="90"/>
      <c r="T16" s="90"/>
      <c r="U16" s="90">
        <f t="shared" si="4"/>
        <v>4060.7</v>
      </c>
      <c r="V16" s="23">
        <v>446.3</v>
      </c>
      <c r="W16" s="23"/>
      <c r="X16" s="90"/>
      <c r="Y16" s="23">
        <v>0.1</v>
      </c>
      <c r="Z16" s="109">
        <f t="shared" si="5"/>
        <v>4507.1</v>
      </c>
    </row>
    <row r="17" s="2" customFormat="1" ht="21" customHeight="1" spans="1:26">
      <c r="A17" s="20" t="s">
        <v>40</v>
      </c>
      <c r="B17" s="21">
        <f t="shared" ref="B17:B31" si="6">C17+D17+E17</f>
        <v>215</v>
      </c>
      <c r="C17" s="22">
        <v>86</v>
      </c>
      <c r="D17" s="22">
        <v>129</v>
      </c>
      <c r="E17" s="33"/>
      <c r="F17" s="22">
        <v>200</v>
      </c>
      <c r="G17" s="22">
        <f>((F17*20631)+1107559)*96%</f>
        <v>5024408.64</v>
      </c>
      <c r="H17" s="23">
        <v>5024.4</v>
      </c>
      <c r="I17" s="58">
        <v>11</v>
      </c>
      <c r="J17" s="57">
        <v>1</v>
      </c>
      <c r="K17" s="65">
        <v>96.7</v>
      </c>
      <c r="L17" s="58"/>
      <c r="M17" s="58"/>
      <c r="N17" s="58">
        <v>153.9</v>
      </c>
      <c r="O17" s="58"/>
      <c r="P17" s="59">
        <f t="shared" si="2"/>
        <v>5275</v>
      </c>
      <c r="Q17" s="32">
        <v>14</v>
      </c>
      <c r="R17" s="59">
        <f t="shared" si="3"/>
        <v>56</v>
      </c>
      <c r="S17" s="23"/>
      <c r="T17" s="23"/>
      <c r="U17" s="90">
        <f t="shared" si="4"/>
        <v>5331</v>
      </c>
      <c r="V17" s="23">
        <v>661.8</v>
      </c>
      <c r="W17" s="23"/>
      <c r="X17" s="90"/>
      <c r="Y17" s="23">
        <v>41.4</v>
      </c>
      <c r="Z17" s="109">
        <f t="shared" si="5"/>
        <v>6034.2</v>
      </c>
    </row>
    <row r="18" s="2" customFormat="1" ht="21" customHeight="1" spans="1:26">
      <c r="A18" s="20" t="s">
        <v>41</v>
      </c>
      <c r="B18" s="21">
        <f t="shared" si="6"/>
        <v>148</v>
      </c>
      <c r="C18" s="22">
        <v>67</v>
      </c>
      <c r="D18" s="22">
        <v>81</v>
      </c>
      <c r="E18" s="33"/>
      <c r="F18" s="22">
        <v>137</v>
      </c>
      <c r="G18" s="22">
        <f>((F18*20631)+1107559)*96%</f>
        <v>3776645.76</v>
      </c>
      <c r="H18" s="23">
        <v>3776.7</v>
      </c>
      <c r="I18" s="58">
        <v>11</v>
      </c>
      <c r="J18" s="57">
        <v>1</v>
      </c>
      <c r="K18" s="65">
        <v>96.7</v>
      </c>
      <c r="L18" s="58"/>
      <c r="M18" s="58"/>
      <c r="N18" s="58">
        <v>163.9</v>
      </c>
      <c r="O18" s="58"/>
      <c r="P18" s="59">
        <f t="shared" si="2"/>
        <v>4037.3</v>
      </c>
      <c r="Q18" s="32">
        <v>14</v>
      </c>
      <c r="R18" s="59">
        <f t="shared" si="3"/>
        <v>56</v>
      </c>
      <c r="S18" s="90"/>
      <c r="T18" s="90"/>
      <c r="U18" s="90">
        <f t="shared" si="4"/>
        <v>4093.3</v>
      </c>
      <c r="V18" s="23">
        <v>455.6</v>
      </c>
      <c r="W18" s="23"/>
      <c r="X18" s="90"/>
      <c r="Y18" s="23">
        <v>0.1</v>
      </c>
      <c r="Z18" s="109">
        <f t="shared" si="5"/>
        <v>4549</v>
      </c>
    </row>
    <row r="19" s="2" customFormat="1" ht="21" customHeight="1" spans="1:26">
      <c r="A19" s="20" t="s">
        <v>42</v>
      </c>
      <c r="B19" s="21">
        <f t="shared" si="6"/>
        <v>208</v>
      </c>
      <c r="C19" s="22">
        <v>77</v>
      </c>
      <c r="D19" s="22">
        <v>131</v>
      </c>
      <c r="E19" s="33"/>
      <c r="F19" s="22">
        <v>195</v>
      </c>
      <c r="G19" s="22">
        <f>((20631*F19+1107559)+(1107559*1))*0.96</f>
        <v>5988636.48</v>
      </c>
      <c r="H19" s="23">
        <v>5988.6</v>
      </c>
      <c r="I19" s="58">
        <v>6</v>
      </c>
      <c r="J19" s="57">
        <v>0.5</v>
      </c>
      <c r="K19" s="65">
        <v>48.4</v>
      </c>
      <c r="L19" s="58"/>
      <c r="M19" s="58"/>
      <c r="N19" s="58">
        <v>151.8</v>
      </c>
      <c r="O19" s="58"/>
      <c r="P19" s="59">
        <f t="shared" si="2"/>
        <v>6188.8</v>
      </c>
      <c r="Q19" s="32">
        <v>25</v>
      </c>
      <c r="R19" s="59">
        <f t="shared" si="3"/>
        <v>100</v>
      </c>
      <c r="S19" s="90"/>
      <c r="T19" s="90"/>
      <c r="U19" s="90">
        <f t="shared" si="4"/>
        <v>6288.8</v>
      </c>
      <c r="V19" s="23">
        <v>640.2</v>
      </c>
      <c r="W19" s="23"/>
      <c r="X19" s="90"/>
      <c r="Y19" s="23">
        <v>0.2</v>
      </c>
      <c r="Z19" s="109">
        <f t="shared" si="5"/>
        <v>6929.2</v>
      </c>
    </row>
    <row r="20" s="2" customFormat="1" ht="21" customHeight="1" spans="1:26">
      <c r="A20" s="20" t="s">
        <v>43</v>
      </c>
      <c r="B20" s="21"/>
      <c r="C20" s="22"/>
      <c r="D20" s="22"/>
      <c r="E20" s="33"/>
      <c r="F20" s="22"/>
      <c r="G20" s="22"/>
      <c r="H20" s="23"/>
      <c r="I20" s="58">
        <v>3</v>
      </c>
      <c r="J20" s="57">
        <v>0.25</v>
      </c>
      <c r="K20" s="65">
        <v>24.2</v>
      </c>
      <c r="L20" s="58"/>
      <c r="M20" s="58"/>
      <c r="N20" s="58"/>
      <c r="O20" s="58"/>
      <c r="P20" s="59">
        <f t="shared" si="2"/>
        <v>24.2</v>
      </c>
      <c r="Q20" s="32"/>
      <c r="R20" s="59">
        <f t="shared" si="3"/>
        <v>0</v>
      </c>
      <c r="S20" s="33"/>
      <c r="T20" s="90"/>
      <c r="U20" s="90">
        <f t="shared" si="4"/>
        <v>24.2</v>
      </c>
      <c r="V20" s="23"/>
      <c r="W20" s="23"/>
      <c r="X20" s="90"/>
      <c r="Y20" s="23"/>
      <c r="Z20" s="109">
        <f t="shared" si="5"/>
        <v>24.2</v>
      </c>
    </row>
    <row r="21" s="2" customFormat="1" ht="21" customHeight="1" spans="1:26">
      <c r="A21" s="20" t="s">
        <v>44</v>
      </c>
      <c r="B21" s="21">
        <f t="shared" si="6"/>
        <v>46</v>
      </c>
      <c r="C21" s="22">
        <v>26</v>
      </c>
      <c r="D21" s="22">
        <v>20</v>
      </c>
      <c r="E21" s="33"/>
      <c r="F21" s="22">
        <v>42</v>
      </c>
      <c r="G21" s="22">
        <f>((F21*(91*20631+1107559)/91*0.96))</f>
        <v>1322575.75384615</v>
      </c>
      <c r="H21" s="23">
        <v>1322.6</v>
      </c>
      <c r="I21" s="58">
        <v>4</v>
      </c>
      <c r="J21" s="57">
        <v>0.25</v>
      </c>
      <c r="K21" s="65">
        <v>24.2</v>
      </c>
      <c r="L21" s="58"/>
      <c r="M21" s="58"/>
      <c r="N21" s="58">
        <v>56.9</v>
      </c>
      <c r="O21" s="58"/>
      <c r="P21" s="59">
        <f t="shared" si="2"/>
        <v>1403.7</v>
      </c>
      <c r="Q21" s="32">
        <v>10</v>
      </c>
      <c r="R21" s="59">
        <f t="shared" si="3"/>
        <v>40</v>
      </c>
      <c r="S21" s="33"/>
      <c r="T21" s="90"/>
      <c r="U21" s="90">
        <f t="shared" si="4"/>
        <v>1443.7</v>
      </c>
      <c r="V21" s="23">
        <v>141.6</v>
      </c>
      <c r="W21" s="23"/>
      <c r="X21" s="90"/>
      <c r="Y21" s="23">
        <v>0.1</v>
      </c>
      <c r="Z21" s="109">
        <f t="shared" si="5"/>
        <v>1585.4</v>
      </c>
    </row>
    <row r="22" s="2" customFormat="1" ht="21" customHeight="1" spans="1:26">
      <c r="A22" s="20" t="s">
        <v>45</v>
      </c>
      <c r="B22" s="21">
        <f t="shared" si="6"/>
        <v>98</v>
      </c>
      <c r="C22" s="22">
        <v>39</v>
      </c>
      <c r="D22" s="22">
        <v>59</v>
      </c>
      <c r="E22" s="33"/>
      <c r="F22" s="22">
        <v>91</v>
      </c>
      <c r="G22" s="22">
        <f>((F22*20631)+1107559)*96%</f>
        <v>2865580.8</v>
      </c>
      <c r="H22" s="23">
        <v>2865.6</v>
      </c>
      <c r="I22" s="58">
        <v>9</v>
      </c>
      <c r="J22" s="57">
        <v>1</v>
      </c>
      <c r="K22" s="65">
        <v>96.7</v>
      </c>
      <c r="L22" s="58"/>
      <c r="M22" s="58"/>
      <c r="N22" s="58">
        <v>100.6</v>
      </c>
      <c r="O22" s="58"/>
      <c r="P22" s="59">
        <f t="shared" si="2"/>
        <v>3062.9</v>
      </c>
      <c r="Q22" s="32">
        <v>13</v>
      </c>
      <c r="R22" s="59">
        <f t="shared" si="3"/>
        <v>52</v>
      </c>
      <c r="S22" s="96">
        <v>0.11</v>
      </c>
      <c r="T22" s="90">
        <v>19.7</v>
      </c>
      <c r="U22" s="90">
        <f t="shared" si="4"/>
        <v>3134.6</v>
      </c>
      <c r="V22" s="23">
        <v>301.7</v>
      </c>
      <c r="W22" s="23"/>
      <c r="X22" s="90"/>
      <c r="Y22" s="23">
        <v>0.1</v>
      </c>
      <c r="Z22" s="109">
        <f t="shared" si="5"/>
        <v>3436.4</v>
      </c>
    </row>
    <row r="23" s="2" customFormat="1" ht="21" customHeight="1" spans="1:26">
      <c r="A23" s="20" t="s">
        <v>46</v>
      </c>
      <c r="B23" s="21">
        <f t="shared" si="6"/>
        <v>117</v>
      </c>
      <c r="C23" s="22">
        <v>55</v>
      </c>
      <c r="D23" s="22">
        <v>62</v>
      </c>
      <c r="E23" s="33"/>
      <c r="F23" s="22">
        <v>108</v>
      </c>
      <c r="G23" s="22">
        <f>((F23*20631)+1107559)*96%</f>
        <v>3202278.72</v>
      </c>
      <c r="H23" s="23">
        <v>3202.3</v>
      </c>
      <c r="I23" s="58">
        <v>17</v>
      </c>
      <c r="J23" s="57">
        <v>1.75</v>
      </c>
      <c r="K23" s="65">
        <v>169.2</v>
      </c>
      <c r="L23" s="58"/>
      <c r="M23" s="58"/>
      <c r="N23" s="58">
        <v>138.8</v>
      </c>
      <c r="O23" s="58"/>
      <c r="P23" s="59">
        <f t="shared" si="2"/>
        <v>3510.3</v>
      </c>
      <c r="Q23" s="32">
        <v>13</v>
      </c>
      <c r="R23" s="59">
        <f t="shared" si="3"/>
        <v>52</v>
      </c>
      <c r="S23" s="33"/>
      <c r="T23" s="90"/>
      <c r="U23" s="90">
        <f t="shared" si="4"/>
        <v>3562.3</v>
      </c>
      <c r="V23" s="23">
        <v>360.1</v>
      </c>
      <c r="W23" s="23"/>
      <c r="X23" s="90"/>
      <c r="Y23" s="23">
        <v>0.1</v>
      </c>
      <c r="Z23" s="109">
        <f t="shared" si="5"/>
        <v>3922.5</v>
      </c>
    </row>
    <row r="24" s="2" customFormat="1" ht="21" customHeight="1" spans="1:26">
      <c r="A24" s="20" t="s">
        <v>47</v>
      </c>
      <c r="B24" s="21">
        <f t="shared" si="6"/>
        <v>80</v>
      </c>
      <c r="C24" s="22">
        <v>38</v>
      </c>
      <c r="D24" s="22">
        <v>42</v>
      </c>
      <c r="E24" s="33"/>
      <c r="F24" s="22">
        <v>74</v>
      </c>
      <c r="G24" s="22">
        <f>((F24*(91*20631+1107559)/91*0.96))</f>
        <v>2330252.51868132</v>
      </c>
      <c r="H24" s="23">
        <v>2330.3</v>
      </c>
      <c r="I24" s="58">
        <v>5</v>
      </c>
      <c r="J24" s="57">
        <v>0.25</v>
      </c>
      <c r="K24" s="65">
        <v>24.2</v>
      </c>
      <c r="L24" s="58"/>
      <c r="M24" s="58"/>
      <c r="N24" s="58">
        <v>106.3</v>
      </c>
      <c r="O24" s="58"/>
      <c r="P24" s="59">
        <f t="shared" si="2"/>
        <v>2460.8</v>
      </c>
      <c r="Q24" s="32">
        <v>9</v>
      </c>
      <c r="R24" s="59">
        <f t="shared" si="3"/>
        <v>36</v>
      </c>
      <c r="S24" s="33"/>
      <c r="T24" s="90"/>
      <c r="U24" s="90">
        <f t="shared" si="4"/>
        <v>2496.8</v>
      </c>
      <c r="V24" s="23">
        <v>246.3</v>
      </c>
      <c r="W24" s="23"/>
      <c r="X24" s="90"/>
      <c r="Y24" s="23">
        <v>26.6</v>
      </c>
      <c r="Z24" s="109">
        <f t="shared" si="5"/>
        <v>2769.7</v>
      </c>
    </row>
    <row r="25" s="2" customFormat="1" ht="21" customHeight="1" spans="1:26">
      <c r="A25" s="20" t="s">
        <v>48</v>
      </c>
      <c r="B25" s="21">
        <f t="shared" si="6"/>
        <v>144</v>
      </c>
      <c r="C25" s="22">
        <v>49</v>
      </c>
      <c r="D25" s="22">
        <v>95</v>
      </c>
      <c r="E25" s="33"/>
      <c r="F25" s="22">
        <v>136</v>
      </c>
      <c r="G25" s="22">
        <f>((F25*20631)+1107559)*96%</f>
        <v>3756840</v>
      </c>
      <c r="H25" s="23">
        <v>3756.8</v>
      </c>
      <c r="I25" s="58">
        <v>9</v>
      </c>
      <c r="J25" s="57">
        <v>1.25</v>
      </c>
      <c r="K25" s="65">
        <v>120.9</v>
      </c>
      <c r="L25" s="58"/>
      <c r="M25" s="58"/>
      <c r="N25" s="58">
        <v>99.7</v>
      </c>
      <c r="O25" s="58"/>
      <c r="P25" s="59">
        <f t="shared" si="2"/>
        <v>3977.4</v>
      </c>
      <c r="Q25" s="32">
        <v>9</v>
      </c>
      <c r="R25" s="59">
        <f t="shared" si="3"/>
        <v>36</v>
      </c>
      <c r="S25" s="33"/>
      <c r="T25" s="90"/>
      <c r="U25" s="90">
        <f t="shared" si="4"/>
        <v>4013.4</v>
      </c>
      <c r="V25" s="23">
        <v>443.2</v>
      </c>
      <c r="W25" s="23"/>
      <c r="X25" s="90"/>
      <c r="Y25" s="23">
        <v>69.1</v>
      </c>
      <c r="Z25" s="109">
        <f t="shared" si="5"/>
        <v>4525.7</v>
      </c>
    </row>
    <row r="26" s="2" customFormat="1" ht="21" customHeight="1" spans="1:26">
      <c r="A26" s="20" t="s">
        <v>49</v>
      </c>
      <c r="B26" s="21">
        <f t="shared" si="6"/>
        <v>108</v>
      </c>
      <c r="C26" s="22">
        <v>46</v>
      </c>
      <c r="D26" s="22">
        <v>62</v>
      </c>
      <c r="E26" s="33"/>
      <c r="F26" s="22">
        <v>100</v>
      </c>
      <c r="G26" s="22">
        <f>((F26*20631)+1107559)*96%</f>
        <v>3043832.64</v>
      </c>
      <c r="H26" s="23">
        <v>3043.8</v>
      </c>
      <c r="I26" s="58">
        <v>12</v>
      </c>
      <c r="J26" s="57">
        <v>1</v>
      </c>
      <c r="K26" s="65">
        <v>96.7</v>
      </c>
      <c r="L26" s="58"/>
      <c r="M26" s="58"/>
      <c r="N26" s="58">
        <v>124.6</v>
      </c>
      <c r="O26" s="58"/>
      <c r="P26" s="59">
        <f t="shared" si="2"/>
        <v>3265.1</v>
      </c>
      <c r="Q26" s="32">
        <v>9</v>
      </c>
      <c r="R26" s="59">
        <f t="shared" si="3"/>
        <v>36</v>
      </c>
      <c r="S26" s="33"/>
      <c r="T26" s="90"/>
      <c r="U26" s="90">
        <f t="shared" si="4"/>
        <v>3301.1</v>
      </c>
      <c r="V26" s="23">
        <v>332.4</v>
      </c>
      <c r="W26" s="23"/>
      <c r="X26" s="90"/>
      <c r="Y26" s="23">
        <v>0.1</v>
      </c>
      <c r="Z26" s="109">
        <f t="shared" si="5"/>
        <v>3633.6</v>
      </c>
    </row>
    <row r="27" s="2" customFormat="1" ht="21" customHeight="1" spans="1:35">
      <c r="A27" s="20" t="s">
        <v>50</v>
      </c>
      <c r="B27" s="21">
        <f t="shared" si="6"/>
        <v>81</v>
      </c>
      <c r="C27" s="22">
        <v>32</v>
      </c>
      <c r="D27" s="22">
        <v>49</v>
      </c>
      <c r="E27" s="33"/>
      <c r="F27" s="22">
        <v>75</v>
      </c>
      <c r="G27" s="22">
        <f>((F27*(91*20631+1107559)/91*0.96))</f>
        <v>2361742.41758242</v>
      </c>
      <c r="H27" s="23">
        <v>2361.8</v>
      </c>
      <c r="I27" s="58">
        <v>8</v>
      </c>
      <c r="J27" s="57">
        <v>0.5</v>
      </c>
      <c r="K27" s="65">
        <v>48.4</v>
      </c>
      <c r="L27" s="58"/>
      <c r="M27" s="58"/>
      <c r="N27" s="58">
        <v>98.2</v>
      </c>
      <c r="O27" s="58"/>
      <c r="P27" s="59">
        <f t="shared" si="2"/>
        <v>2508.4</v>
      </c>
      <c r="Q27" s="32">
        <v>8</v>
      </c>
      <c r="R27" s="59">
        <f t="shared" si="3"/>
        <v>32</v>
      </c>
      <c r="S27" s="96"/>
      <c r="T27" s="90"/>
      <c r="U27" s="90">
        <f t="shared" si="4"/>
        <v>2540.4</v>
      </c>
      <c r="V27" s="23">
        <v>249.3</v>
      </c>
      <c r="W27" s="23"/>
      <c r="X27" s="90"/>
      <c r="Y27" s="23">
        <v>0.1</v>
      </c>
      <c r="Z27" s="109">
        <f t="shared" si="5"/>
        <v>2789.8</v>
      </c>
      <c r="AI27" s="114"/>
    </row>
    <row r="28" s="2" customFormat="1" ht="21" customHeight="1" spans="1:35">
      <c r="A28" s="20" t="s">
        <v>51</v>
      </c>
      <c r="B28" s="21">
        <f t="shared" si="6"/>
        <v>107</v>
      </c>
      <c r="C28" s="22">
        <v>37</v>
      </c>
      <c r="D28" s="22">
        <v>70</v>
      </c>
      <c r="E28" s="33"/>
      <c r="F28" s="22">
        <v>101</v>
      </c>
      <c r="G28" s="22">
        <f>((F28*20631)+1107559)*96%</f>
        <v>3063638.4</v>
      </c>
      <c r="H28" s="23">
        <v>3063.6</v>
      </c>
      <c r="I28" s="58">
        <v>18</v>
      </c>
      <c r="J28" s="57">
        <v>1.5</v>
      </c>
      <c r="K28" s="65">
        <v>145.1</v>
      </c>
      <c r="L28" s="58"/>
      <c r="M28" s="58"/>
      <c r="N28" s="58">
        <v>175.2</v>
      </c>
      <c r="O28" s="58"/>
      <c r="P28" s="59">
        <f t="shared" si="2"/>
        <v>3383.9</v>
      </c>
      <c r="Q28" s="32">
        <v>10</v>
      </c>
      <c r="R28" s="59">
        <f t="shared" si="3"/>
        <v>40</v>
      </c>
      <c r="S28" s="96"/>
      <c r="T28" s="90"/>
      <c r="U28" s="90">
        <f t="shared" si="4"/>
        <v>3423.9</v>
      </c>
      <c r="V28" s="23">
        <v>329.4</v>
      </c>
      <c r="W28" s="23"/>
      <c r="X28" s="90"/>
      <c r="Y28" s="23">
        <v>0.1</v>
      </c>
      <c r="Z28" s="109">
        <f t="shared" si="5"/>
        <v>3753.4</v>
      </c>
      <c r="AI28" s="114"/>
    </row>
    <row r="29" s="2" customFormat="1" ht="21" customHeight="1" spans="1:35">
      <c r="A29" s="34" t="s">
        <v>52</v>
      </c>
      <c r="B29" s="21">
        <f t="shared" si="6"/>
        <v>212</v>
      </c>
      <c r="C29" s="22">
        <v>95</v>
      </c>
      <c r="D29" s="22">
        <v>117</v>
      </c>
      <c r="E29" s="22"/>
      <c r="F29" s="22">
        <v>196</v>
      </c>
      <c r="G29" s="22">
        <f>((F29*20631)+1107559)*96%</f>
        <v>4945185.6</v>
      </c>
      <c r="H29" s="23">
        <v>4945.2</v>
      </c>
      <c r="I29" s="22">
        <v>19</v>
      </c>
      <c r="J29" s="57">
        <v>1.75</v>
      </c>
      <c r="K29" s="67">
        <v>169.2</v>
      </c>
      <c r="L29" s="58"/>
      <c r="M29" s="58"/>
      <c r="N29" s="58">
        <v>265.9</v>
      </c>
      <c r="O29" s="58"/>
      <c r="P29" s="59">
        <f t="shared" si="2"/>
        <v>5380.3</v>
      </c>
      <c r="Q29" s="32">
        <v>19</v>
      </c>
      <c r="R29" s="59">
        <f t="shared" si="3"/>
        <v>76</v>
      </c>
      <c r="S29" s="96"/>
      <c r="T29" s="90"/>
      <c r="U29" s="90">
        <f t="shared" si="4"/>
        <v>5456.3</v>
      </c>
      <c r="V29" s="23">
        <v>652.5</v>
      </c>
      <c r="W29" s="23"/>
      <c r="X29" s="90"/>
      <c r="Y29" s="23">
        <v>20.1</v>
      </c>
      <c r="Z29" s="109">
        <f t="shared" si="5"/>
        <v>6128.9</v>
      </c>
      <c r="AI29" s="114"/>
    </row>
    <row r="30" s="2" customFormat="1" ht="21" customHeight="1" spans="1:35">
      <c r="A30" s="34" t="s">
        <v>53</v>
      </c>
      <c r="B30" s="21">
        <f t="shared" si="6"/>
        <v>182</v>
      </c>
      <c r="C30" s="22">
        <v>91</v>
      </c>
      <c r="D30" s="22">
        <v>91</v>
      </c>
      <c r="E30" s="22"/>
      <c r="F30" s="22">
        <v>166</v>
      </c>
      <c r="G30" s="22">
        <f>((F30*20631)+1107559)*96%</f>
        <v>4351012.8</v>
      </c>
      <c r="H30" s="23">
        <v>4351</v>
      </c>
      <c r="I30" s="58">
        <v>15</v>
      </c>
      <c r="J30" s="57">
        <v>1.25</v>
      </c>
      <c r="K30" s="58">
        <v>120.9</v>
      </c>
      <c r="L30" s="58"/>
      <c r="M30" s="58"/>
      <c r="N30" s="58">
        <v>223.9</v>
      </c>
      <c r="O30" s="58"/>
      <c r="P30" s="59">
        <f t="shared" si="2"/>
        <v>4695.8</v>
      </c>
      <c r="Q30" s="32">
        <v>15</v>
      </c>
      <c r="R30" s="59">
        <f t="shared" si="3"/>
        <v>60</v>
      </c>
      <c r="S30" s="89"/>
      <c r="T30" s="89"/>
      <c r="U30" s="90">
        <f t="shared" si="4"/>
        <v>4755.8</v>
      </c>
      <c r="V30" s="23">
        <v>560.2</v>
      </c>
      <c r="W30" s="23"/>
      <c r="X30" s="90"/>
      <c r="Y30" s="23">
        <v>0.1</v>
      </c>
      <c r="Z30" s="109">
        <f>SUM(U30+W30+Y30+V30+AA30+X30)</f>
        <v>5316.1</v>
      </c>
      <c r="AI30" s="114"/>
    </row>
    <row r="31" s="2" customFormat="1" ht="21" customHeight="1" spans="1:35">
      <c r="A31" s="20" t="s">
        <v>35</v>
      </c>
      <c r="B31" s="21"/>
      <c r="C31" s="22"/>
      <c r="D31" s="22"/>
      <c r="E31" s="33"/>
      <c r="F31" s="22"/>
      <c r="G31" s="22"/>
      <c r="H31" s="23"/>
      <c r="I31" s="58"/>
      <c r="J31" s="57"/>
      <c r="K31" s="58"/>
      <c r="L31" s="58">
        <v>3404.9</v>
      </c>
      <c r="M31" s="58"/>
      <c r="N31" s="58"/>
      <c r="O31" s="58"/>
      <c r="P31" s="59">
        <f t="shared" si="2"/>
        <v>3404.9</v>
      </c>
      <c r="Q31" s="32"/>
      <c r="R31" s="59"/>
      <c r="S31" s="89"/>
      <c r="T31" s="89"/>
      <c r="U31" s="90">
        <f t="shared" si="4"/>
        <v>3404.9</v>
      </c>
      <c r="V31" s="23">
        <f t="shared" ref="V31:V32" si="7">(C31+D31)*171*18/1000</f>
        <v>0</v>
      </c>
      <c r="W31" s="90"/>
      <c r="X31" s="90"/>
      <c r="Y31" s="23">
        <v>320</v>
      </c>
      <c r="Z31" s="109">
        <f>SUM(U31+W31+Y31+V31+AA31)</f>
        <v>3724.9</v>
      </c>
      <c r="AI31" s="114"/>
    </row>
    <row r="32" s="2" customFormat="1" ht="21" customHeight="1" spans="1:35">
      <c r="A32" s="24" t="s">
        <v>54</v>
      </c>
      <c r="B32" s="25"/>
      <c r="C32" s="26"/>
      <c r="D32" s="26"/>
      <c r="E32" s="35"/>
      <c r="F32" s="26"/>
      <c r="G32" s="26"/>
      <c r="H32" s="27"/>
      <c r="I32" s="60"/>
      <c r="J32" s="61"/>
      <c r="K32" s="60"/>
      <c r="L32" s="60"/>
      <c r="M32" s="60"/>
      <c r="N32" s="27">
        <v>3042.5</v>
      </c>
      <c r="O32" s="60">
        <v>6392.8</v>
      </c>
      <c r="P32" s="62">
        <f t="shared" si="2"/>
        <v>9435.3</v>
      </c>
      <c r="Q32" s="91"/>
      <c r="R32" s="62"/>
      <c r="S32" s="97"/>
      <c r="T32" s="94">
        <v>272.1</v>
      </c>
      <c r="U32" s="94">
        <f t="shared" si="4"/>
        <v>9707.4</v>
      </c>
      <c r="V32" s="27">
        <f t="shared" si="7"/>
        <v>0</v>
      </c>
      <c r="W32" s="94"/>
      <c r="X32" s="94"/>
      <c r="Y32" s="27"/>
      <c r="Z32" s="110">
        <f>SUM(U32+W32+Y32+V32+AA32)</f>
        <v>9707.4</v>
      </c>
      <c r="AI32" s="102"/>
    </row>
    <row r="33" s="2" customFormat="1" ht="22" customHeight="1" spans="1:35">
      <c r="A33" s="28" t="s">
        <v>55</v>
      </c>
      <c r="B33" s="36">
        <f t="shared" ref="B33:G33" si="8">B28+B27+B26+B25+B24+B23+B22+B21+B19+B18+B17+B16+B15+B14+B29+B30</f>
        <v>2288</v>
      </c>
      <c r="C33" s="36">
        <f t="shared" si="8"/>
        <v>984</v>
      </c>
      <c r="D33" s="36">
        <f t="shared" si="8"/>
        <v>1304</v>
      </c>
      <c r="E33" s="36">
        <f t="shared" si="8"/>
        <v>0</v>
      </c>
      <c r="F33" s="36">
        <f t="shared" si="8"/>
        <v>2121</v>
      </c>
      <c r="G33" s="36">
        <f t="shared" si="8"/>
        <v>58728019.7274725</v>
      </c>
      <c r="H33" s="29">
        <f t="shared" ref="H33:W33" si="9">SUM(H14:H32)</f>
        <v>58728</v>
      </c>
      <c r="I33" s="36">
        <f t="shared" si="9"/>
        <v>180</v>
      </c>
      <c r="J33" s="42">
        <f t="shared" si="9"/>
        <v>16.25</v>
      </c>
      <c r="K33" s="29">
        <f t="shared" si="9"/>
        <v>1571.6</v>
      </c>
      <c r="L33" s="29">
        <f t="shared" si="9"/>
        <v>3404.9</v>
      </c>
      <c r="M33" s="29">
        <f t="shared" si="9"/>
        <v>0</v>
      </c>
      <c r="N33" s="29">
        <f t="shared" si="9"/>
        <v>5349</v>
      </c>
      <c r="O33" s="29">
        <f t="shared" si="9"/>
        <v>6392.8</v>
      </c>
      <c r="P33" s="29">
        <f t="shared" si="9"/>
        <v>75446.3</v>
      </c>
      <c r="Q33" s="29">
        <f t="shared" si="9"/>
        <v>219</v>
      </c>
      <c r="R33" s="29">
        <f t="shared" si="9"/>
        <v>876</v>
      </c>
      <c r="S33" s="98">
        <f>SUM(S22:S32)</f>
        <v>0.11</v>
      </c>
      <c r="T33" s="99">
        <f>SUM(T22:T32)</f>
        <v>291.8</v>
      </c>
      <c r="U33" s="29">
        <f t="shared" si="9"/>
        <v>76614.1</v>
      </c>
      <c r="V33" s="29">
        <f t="shared" si="9"/>
        <v>7042.5</v>
      </c>
      <c r="W33" s="29">
        <f t="shared" si="9"/>
        <v>0</v>
      </c>
      <c r="X33" s="29"/>
      <c r="Y33" s="29">
        <f>SUM(Y14:Y32)</f>
        <v>478.5</v>
      </c>
      <c r="Z33" s="111">
        <f>SUM(Z14:Z32)</f>
        <v>84135.1</v>
      </c>
      <c r="AB33" s="112"/>
      <c r="AI33" s="114"/>
    </row>
    <row r="34" s="2" customFormat="1" ht="26" customHeight="1" spans="1:35">
      <c r="A34" s="37" t="s">
        <v>56</v>
      </c>
      <c r="B34" s="38">
        <f>C34+D34+E34</f>
        <v>26</v>
      </c>
      <c r="C34" s="39">
        <v>26</v>
      </c>
      <c r="D34" s="39"/>
      <c r="E34" s="40"/>
      <c r="F34" s="39">
        <v>22</v>
      </c>
      <c r="G34" s="39">
        <f>((F34*((41*20631+1107559)/41)*0.96))</f>
        <v>1006254.67317073</v>
      </c>
      <c r="H34" s="41">
        <v>1006.2</v>
      </c>
      <c r="I34" s="39"/>
      <c r="J34" s="68"/>
      <c r="K34" s="68"/>
      <c r="L34" s="69"/>
      <c r="M34" s="69"/>
      <c r="N34" s="69"/>
      <c r="O34" s="69"/>
      <c r="P34" s="70">
        <f>H34</f>
        <v>1006.2</v>
      </c>
      <c r="Q34" s="40">
        <v>5</v>
      </c>
      <c r="R34" s="70">
        <f>Q34*4</f>
        <v>20</v>
      </c>
      <c r="S34" s="43"/>
      <c r="T34" s="41"/>
      <c r="U34" s="100">
        <f>P34+R34+T34</f>
        <v>1026.2</v>
      </c>
      <c r="V34" s="41">
        <f>C34*171*18/1000</f>
        <v>80.028</v>
      </c>
      <c r="W34" s="100"/>
      <c r="X34" s="100"/>
      <c r="Y34" s="41"/>
      <c r="Z34" s="113">
        <f>SUM(U34+W34+Y34+V34+AA34)+N34</f>
        <v>1106.228</v>
      </c>
      <c r="AI34" s="114"/>
    </row>
    <row r="35" s="2" customFormat="1" ht="24" customHeight="1" spans="1:35">
      <c r="A35" s="28" t="s">
        <v>57</v>
      </c>
      <c r="B35" s="36">
        <f>SUM(B34:B34)</f>
        <v>26</v>
      </c>
      <c r="C35" s="36">
        <f>SUM(C34:C34)</f>
        <v>26</v>
      </c>
      <c r="D35" s="42"/>
      <c r="E35" s="42"/>
      <c r="F35" s="36">
        <f t="shared" ref="F35:L35" si="10">SUM(F34:F34)</f>
        <v>22</v>
      </c>
      <c r="G35" s="36">
        <f t="shared" si="10"/>
        <v>1006254.67317073</v>
      </c>
      <c r="H35" s="29">
        <f t="shared" si="10"/>
        <v>1006.2</v>
      </c>
      <c r="I35" s="36">
        <f t="shared" si="10"/>
        <v>0</v>
      </c>
      <c r="J35" s="42">
        <f t="shared" si="10"/>
        <v>0</v>
      </c>
      <c r="K35" s="29">
        <f t="shared" si="10"/>
        <v>0</v>
      </c>
      <c r="L35" s="29">
        <f t="shared" si="10"/>
        <v>0</v>
      </c>
      <c r="M35" s="36"/>
      <c r="N35" s="29">
        <f>SUM(N34:N34)</f>
        <v>0</v>
      </c>
      <c r="O35" s="36"/>
      <c r="P35" s="29">
        <f>SUM(P34:P34)</f>
        <v>1006.2</v>
      </c>
      <c r="Q35" s="36">
        <f>SUM(Q34:Q34)</f>
        <v>5</v>
      </c>
      <c r="R35" s="101">
        <f>SUM(R34:R34)</f>
        <v>20</v>
      </c>
      <c r="S35" s="42"/>
      <c r="T35" s="36"/>
      <c r="U35" s="29">
        <f>SUM(U34:U34)</f>
        <v>1026.2</v>
      </c>
      <c r="V35" s="29">
        <f>SUM(V34:V34)</f>
        <v>80.028</v>
      </c>
      <c r="W35" s="36"/>
      <c r="X35" s="36"/>
      <c r="Y35" s="29">
        <f>SUM(Y34:Y34)</f>
        <v>0</v>
      </c>
      <c r="Z35" s="111">
        <f>SUM(Z34:Z34)</f>
        <v>1106.228</v>
      </c>
      <c r="AI35" s="114"/>
    </row>
    <row r="36" s="2" customFormat="1" ht="19" customHeight="1" spans="1:35">
      <c r="A36" s="37"/>
      <c r="B36" s="39"/>
      <c r="C36" s="39"/>
      <c r="D36" s="43"/>
      <c r="E36" s="43"/>
      <c r="F36" s="39"/>
      <c r="G36" s="39"/>
      <c r="H36" s="41"/>
      <c r="I36" s="39"/>
      <c r="J36" s="43"/>
      <c r="K36" s="41"/>
      <c r="L36" s="39"/>
      <c r="M36" s="39"/>
      <c r="N36" s="41"/>
      <c r="O36" s="39"/>
      <c r="P36" s="41"/>
      <c r="Q36" s="39"/>
      <c r="R36" s="70"/>
      <c r="S36" s="43"/>
      <c r="T36" s="39"/>
      <c r="U36" s="41"/>
      <c r="V36" s="41"/>
      <c r="W36" s="39"/>
      <c r="X36" s="39"/>
      <c r="Y36" s="41"/>
      <c r="Z36" s="113"/>
      <c r="AI36" s="114"/>
    </row>
    <row r="37" s="2" customFormat="1" ht="33.75" customHeight="1" spans="1:35">
      <c r="A37" s="44" t="s">
        <v>58</v>
      </c>
      <c r="B37" s="36">
        <f t="shared" ref="B37:Y37" si="11">B13+B33+B35</f>
        <v>3842</v>
      </c>
      <c r="C37" s="36">
        <f t="shared" si="11"/>
        <v>1564</v>
      </c>
      <c r="D37" s="36">
        <f t="shared" si="11"/>
        <v>2002</v>
      </c>
      <c r="E37" s="36">
        <f t="shared" si="11"/>
        <v>276</v>
      </c>
      <c r="F37" s="36">
        <f t="shared" si="11"/>
        <v>3637</v>
      </c>
      <c r="G37" s="29">
        <f t="shared" si="11"/>
        <v>92513849.7606433</v>
      </c>
      <c r="H37" s="29">
        <f t="shared" si="11"/>
        <v>92513.77536</v>
      </c>
      <c r="I37" s="29">
        <f t="shared" si="11"/>
        <v>254</v>
      </c>
      <c r="J37" s="29">
        <f t="shared" si="11"/>
        <v>23.5</v>
      </c>
      <c r="K37" s="29">
        <f t="shared" si="11"/>
        <v>2272.7</v>
      </c>
      <c r="L37" s="29">
        <f t="shared" si="11"/>
        <v>4319</v>
      </c>
      <c r="M37" s="29">
        <f t="shared" si="11"/>
        <v>825.2</v>
      </c>
      <c r="N37" s="29">
        <f t="shared" si="11"/>
        <v>7311.8</v>
      </c>
      <c r="O37" s="29">
        <f t="shared" si="11"/>
        <v>6392.8</v>
      </c>
      <c r="P37" s="29">
        <f t="shared" si="11"/>
        <v>113635.27536</v>
      </c>
      <c r="Q37" s="29">
        <f t="shared" si="11"/>
        <v>332</v>
      </c>
      <c r="R37" s="29">
        <f t="shared" si="11"/>
        <v>1328</v>
      </c>
      <c r="S37" s="42">
        <f t="shared" si="11"/>
        <v>0.28</v>
      </c>
      <c r="T37" s="29">
        <f t="shared" si="11"/>
        <v>324.9</v>
      </c>
      <c r="U37" s="29">
        <f t="shared" si="11"/>
        <v>115288.17536</v>
      </c>
      <c r="V37" s="29">
        <f t="shared" si="11"/>
        <v>10976.128</v>
      </c>
      <c r="W37" s="29">
        <f t="shared" si="11"/>
        <v>0</v>
      </c>
      <c r="X37" s="29">
        <f t="shared" si="11"/>
        <v>0</v>
      </c>
      <c r="Y37" s="29">
        <f t="shared" si="11"/>
        <v>977</v>
      </c>
      <c r="Z37" s="111">
        <v>127241.3</v>
      </c>
      <c r="AI37" s="114"/>
    </row>
    <row r="38" ht="15.75" spans="1:35">
      <c r="A38" s="4"/>
      <c r="B38" s="4"/>
      <c r="C38" s="45"/>
      <c r="D38" s="45"/>
      <c r="E38" s="45"/>
      <c r="F38" s="45"/>
      <c r="G38" s="45"/>
      <c r="H38" s="46"/>
      <c r="I38" s="45"/>
      <c r="J38" s="45"/>
      <c r="K38" s="71"/>
      <c r="L38" s="72"/>
      <c r="M38" s="71"/>
      <c r="N38" s="71"/>
      <c r="O38" s="71"/>
      <c r="P38" s="73"/>
      <c r="Q38" s="71"/>
      <c r="R38" s="102"/>
      <c r="S38" s="103"/>
      <c r="T38" s="76"/>
      <c r="U38" s="4"/>
      <c r="V38" s="71"/>
      <c r="W38" s="4"/>
      <c r="X38" s="4"/>
      <c r="Y38" s="4"/>
      <c r="Z38" s="4"/>
      <c r="AI38" s="115"/>
    </row>
    <row r="39" ht="15.75" spans="1:35">
      <c r="A39" s="4"/>
      <c r="B39" s="4"/>
      <c r="C39" s="45"/>
      <c r="D39" s="45"/>
      <c r="E39" s="45"/>
      <c r="F39" s="45"/>
      <c r="G39" s="45"/>
      <c r="H39" s="46"/>
      <c r="I39" s="45"/>
      <c r="J39" s="45"/>
      <c r="K39" s="74"/>
      <c r="L39" s="75"/>
      <c r="M39" s="76"/>
      <c r="N39" s="76"/>
      <c r="O39" s="76"/>
      <c r="P39" s="76"/>
      <c r="Q39" s="71"/>
      <c r="R39" s="102"/>
      <c r="S39" s="103"/>
      <c r="T39" s="76"/>
      <c r="U39" s="4"/>
      <c r="V39" s="71"/>
      <c r="W39" s="4"/>
      <c r="X39" s="4"/>
      <c r="Y39" s="4"/>
      <c r="Z39" s="4"/>
      <c r="AI39" s="115"/>
    </row>
    <row r="41" spans="16:16">
      <c r="P41" s="77"/>
    </row>
  </sheetData>
  <mergeCells count="20">
    <mergeCell ref="Y2:Z2"/>
    <mergeCell ref="A3:Z3"/>
    <mergeCell ref="B5:E5"/>
    <mergeCell ref="G5:H5"/>
    <mergeCell ref="I5:K5"/>
    <mergeCell ref="S5:T5"/>
    <mergeCell ref="F5:F6"/>
    <mergeCell ref="L5:L6"/>
    <mergeCell ref="M5:M6"/>
    <mergeCell ref="N5:N6"/>
    <mergeCell ref="O5:O6"/>
    <mergeCell ref="P5:P6"/>
    <mergeCell ref="Q5:Q6"/>
    <mergeCell ref="R5:R6"/>
    <mergeCell ref="U5:U6"/>
    <mergeCell ref="V5:V6"/>
    <mergeCell ref="W5:W6"/>
    <mergeCell ref="X5:X6"/>
    <mergeCell ref="Y5:Y6"/>
    <mergeCell ref="Z5:Z6"/>
  </mergeCells>
  <pageMargins left="0.275590551181102" right="0.196850393700787" top="0.432638888888889" bottom="0.196850393700787" header="0.31496062992126" footer="0.31496062992126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1996-10-08T23:32:00Z</dcterms:created>
  <cp:lastPrinted>2025-09-15T10:22:00Z</cp:lastPrinted>
  <dcterms:modified xsi:type="dcterms:W3CDTF">2025-10-24T10:26:55Z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3E58C46FD8EE41398B0CBD64B07287AB_13</vt:lpwstr>
  </property>
  <property fmtid="{D5CDD505-2E9C-101B-9397-08002B2CF9AE}" pid="3" name="KSOProductBuildVer">
    <vt:lpwstr>1033-12.2.0.22549</vt:lpwstr>
  </property>
</Properties>
</file>